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1025"/>
  </bookViews>
  <sheets>
    <sheet name="calculator" sheetId="4" r:id="rId1"/>
    <sheet name="mineral waters lookup" sheetId="2" r:id="rId2"/>
  </sheets>
  <definedNames>
    <definedName name="bicarbonate_p">calculator!$P$13</definedName>
    <definedName name="bicarbonate_t">calculator!$Q$22</definedName>
    <definedName name="Ca_p">calculator!$P$10</definedName>
    <definedName name="Ca_t">calculator!$Q$19</definedName>
    <definedName name="calcium_hydroxide" localSheetId="0">calculator!$K$16</definedName>
    <definedName name="calcium_sulfate" localSheetId="0">calculator!$K$14</definedName>
    <definedName name="chloride_p">calculator!$P$15</definedName>
    <definedName name="Cl_t">calculator!$Q$24</definedName>
    <definedName name="magnesium_hydroxide" localSheetId="0">calculator!$K$15</definedName>
    <definedName name="magnesium_sulfate" localSheetId="0">calculator!$K$13</definedName>
    <definedName name="Mg_p">calculator!$P$11</definedName>
    <definedName name="Mg_t">calculator!$Q$20</definedName>
    <definedName name="Na_p">calculator!$P$12</definedName>
    <definedName name="Na_t">calculator!$Q$21</definedName>
    <definedName name="sodium_bicarbonate" localSheetId="0">calculator!$K$12</definedName>
    <definedName name="sodium_chloride" localSheetId="0">calculator!$K$11</definedName>
    <definedName name="sulfate_p">calculator!$P$14</definedName>
    <definedName name="sulfate_t">calculator!$Q$23</definedName>
  </definedNames>
  <calcPr calcId="125725"/>
</workbook>
</file>

<file path=xl/calcChain.xml><?xml version="1.0" encoding="utf-8"?>
<calcChain xmlns="http://schemas.openxmlformats.org/spreadsheetml/2006/main">
  <c r="Q15" i="4"/>
  <c r="Q14"/>
  <c r="Q13"/>
  <c r="Q12"/>
  <c r="Q11"/>
  <c r="Q10"/>
  <c r="C19"/>
  <c r="C18"/>
  <c r="C17"/>
  <c r="C16"/>
  <c r="P24" s="1"/>
  <c r="Q24" s="1"/>
  <c r="C15"/>
  <c r="P23" s="1"/>
  <c r="Q23" s="1"/>
  <c r="C14"/>
  <c r="P22" s="1"/>
  <c r="Q22" s="1"/>
  <c r="C13"/>
  <c r="P21" s="1"/>
  <c r="Q21" s="1"/>
  <c r="C12"/>
  <c r="P20" s="1"/>
  <c r="Q20" s="1"/>
  <c r="C11"/>
  <c r="P19" l="1"/>
  <c r="Q19" s="1"/>
  <c r="D17"/>
  <c r="K17" s="1"/>
  <c r="L17" s="1"/>
  <c r="M17" s="1"/>
  <c r="D16"/>
  <c r="D15"/>
  <c r="D14"/>
  <c r="D13"/>
  <c r="D12"/>
  <c r="D11"/>
  <c r="K13" l="1"/>
  <c r="D21"/>
  <c r="K11"/>
  <c r="D22"/>
  <c r="H16" l="1"/>
  <c r="K14"/>
  <c r="H15" s="1"/>
  <c r="L13"/>
  <c r="M13" s="1"/>
  <c r="K12"/>
  <c r="L12" s="1"/>
  <c r="M12" s="1"/>
  <c r="L11"/>
  <c r="K15"/>
  <c r="H12" s="1"/>
  <c r="G16"/>
  <c r="H13" l="1"/>
  <c r="L14"/>
  <c r="M14" s="1"/>
  <c r="G13"/>
  <c r="G15"/>
  <c r="K16"/>
  <c r="M11"/>
  <c r="G12"/>
  <c r="L15"/>
  <c r="M15" s="1"/>
  <c r="H14" l="1"/>
  <c r="G14" s="1"/>
  <c r="H11"/>
  <c r="H21" s="1"/>
  <c r="H17"/>
  <c r="G17" s="1"/>
  <c r="L16"/>
  <c r="M16" s="1"/>
  <c r="H22" l="1"/>
  <c r="G11"/>
  <c r="G19" s="1"/>
  <c r="H18"/>
</calcChain>
</file>

<file path=xl/sharedStrings.xml><?xml version="1.0" encoding="utf-8"?>
<sst xmlns="http://schemas.openxmlformats.org/spreadsheetml/2006/main" count="104" uniqueCount="68">
  <si>
    <t>Ca</t>
  </si>
  <si>
    <t>Mg</t>
  </si>
  <si>
    <t>Na</t>
  </si>
  <si>
    <t>HCO3</t>
  </si>
  <si>
    <t>SO4</t>
  </si>
  <si>
    <t>Cl</t>
  </si>
  <si>
    <t>mmol/L</t>
  </si>
  <si>
    <t>mg/L</t>
  </si>
  <si>
    <t>MW</t>
  </si>
  <si>
    <t>NaCl</t>
  </si>
  <si>
    <t>NaHCO3</t>
  </si>
  <si>
    <t>Mg(OH)2</t>
  </si>
  <si>
    <t>Ca(OH)2</t>
  </si>
  <si>
    <t>pH</t>
  </si>
  <si>
    <t>CO2</t>
  </si>
  <si>
    <t>Borsec</t>
  </si>
  <si>
    <t>Farris</t>
  </si>
  <si>
    <t>San Pellegrino</t>
  </si>
  <si>
    <t>Evian</t>
  </si>
  <si>
    <t>Vittel</t>
  </si>
  <si>
    <t>Perrier</t>
  </si>
  <si>
    <t>Na+</t>
  </si>
  <si>
    <t>HCO3-</t>
  </si>
  <si>
    <t>Ca++</t>
  </si>
  <si>
    <t>Mg++</t>
  </si>
  <si>
    <t>SO4--</t>
  </si>
  <si>
    <t>Cl-</t>
  </si>
  <si>
    <t>MgSO4 . 7H2O</t>
  </si>
  <si>
    <t>CaSO4 . 2H2O</t>
  </si>
  <si>
    <t>MgSO4.7H2O</t>
  </si>
  <si>
    <t>Salt</t>
  </si>
  <si>
    <t>Acqua Panna</t>
  </si>
  <si>
    <t>Apollinaris</t>
  </si>
  <si>
    <t>Gerolsteiner</t>
  </si>
  <si>
    <t>TDS</t>
  </si>
  <si>
    <t>calcium</t>
  </si>
  <si>
    <t>magnesium</t>
  </si>
  <si>
    <t>sodium</t>
  </si>
  <si>
    <t>bicarbonate</t>
  </si>
  <si>
    <t>sulfate</t>
  </si>
  <si>
    <t>chloride</t>
  </si>
  <si>
    <t>carbon dioxide</t>
  </si>
  <si>
    <t>calculated pH</t>
  </si>
  <si>
    <t>Compositional data for artificial mineral water</t>
  </si>
  <si>
    <t>positive charge equivalents</t>
  </si>
  <si>
    <t>negative charge equivalents</t>
  </si>
  <si>
    <t>mg</t>
  </si>
  <si>
    <t>g</t>
  </si>
  <si>
    <t>Amount of salt to add for</t>
  </si>
  <si>
    <t>1 liter</t>
  </si>
  <si>
    <t>10 liters</t>
  </si>
  <si>
    <t>2) Selected cations (calcium, magnesium, sodium) and anions (sulfate, chloride, bicarbonate) are shown</t>
  </si>
  <si>
    <t>4) Carbonate water and add the calculated amounts of salt</t>
  </si>
  <si>
    <t>carbon dioxide*</t>
  </si>
  <si>
    <t xml:space="preserve">*) The carbon dioxide level is not given for all mineral waters. </t>
  </si>
  <si>
    <t>negative charge equivalents**</t>
  </si>
  <si>
    <t>positive charge equivalents**</t>
  </si>
  <si>
    <t>**) Red indicates that the selected cations and anions do not balance. The artificial mineral water is calculated based on the lowest number.</t>
  </si>
  <si>
    <t>1) Choose which mineral water you want to recreate (click to show drop down list)</t>
  </si>
  <si>
    <t>Vichy Saint-Yorre</t>
  </si>
  <si>
    <t>Composition of tap water used</t>
  </si>
  <si>
    <t>5) If known, please enter the composition of your tapwater here and the recipe will be adjusted according to this</t>
  </si>
  <si>
    <t>Corrected target values</t>
  </si>
  <si>
    <t>Analytical data for chosen mineral water</t>
  </si>
  <si>
    <t>3) Compare original with composition of the artificial mineral water</t>
  </si>
  <si>
    <t>Mineral water calculator by Martin Lersch</t>
  </si>
  <si>
    <t>Downloaded from Khymos - a blog dedicated to molecular gastronomy and popular food science</t>
  </si>
  <si>
    <t>http://blog.khymos.org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</si>
</sst>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.0000_ ;_ * \-#,##0.0000_ ;_ * &quot;-&quot;??_ ;_ @_ "/>
    <numFmt numFmtId="165" formatCode="0.0"/>
    <numFmt numFmtId="166" formatCode="_ * #,##0_ ;_ * \-#,##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0" fillId="0" borderId="0" xfId="0" applyFill="1"/>
    <xf numFmtId="0" fontId="0" fillId="4" borderId="0" xfId="0" applyFill="1"/>
    <xf numFmtId="164" fontId="0" fillId="4" borderId="0" xfId="1" applyNumberFormat="1" applyFont="1" applyFill="1"/>
    <xf numFmtId="164" fontId="0" fillId="5" borderId="0" xfId="1" applyNumberFormat="1" applyFont="1" applyFill="1"/>
    <xf numFmtId="0" fontId="2" fillId="6" borderId="0" xfId="0" applyFont="1" applyFill="1"/>
    <xf numFmtId="0" fontId="0" fillId="6" borderId="0" xfId="0" applyFill="1"/>
    <xf numFmtId="164" fontId="0" fillId="6" borderId="0" xfId="1" applyNumberFormat="1" applyFont="1" applyFill="1"/>
    <xf numFmtId="164" fontId="0" fillId="2" borderId="0" xfId="1" applyNumberFormat="1" applyFont="1" applyFill="1"/>
    <xf numFmtId="0" fontId="0" fillId="5" borderId="0" xfId="0" applyFill="1"/>
    <xf numFmtId="0" fontId="0" fillId="5" borderId="0" xfId="0" applyFill="1" applyAlignment="1">
      <alignment horizontal="right"/>
    </xf>
    <xf numFmtId="166" fontId="0" fillId="5" borderId="0" xfId="1" applyNumberFormat="1" applyFont="1" applyFill="1"/>
    <xf numFmtId="43" fontId="0" fillId="5" borderId="0" xfId="1" applyNumberFormat="1" applyFont="1" applyFill="1"/>
    <xf numFmtId="0" fontId="0" fillId="4" borderId="0" xfId="0" applyFill="1" applyAlignment="1">
      <alignment horizontal="right"/>
    </xf>
    <xf numFmtId="2" fontId="0" fillId="6" borderId="0" xfId="1" applyNumberFormat="1" applyFont="1" applyFill="1"/>
    <xf numFmtId="1" fontId="0" fillId="6" borderId="0" xfId="1" applyNumberFormat="1" applyFont="1" applyFill="1"/>
    <xf numFmtId="165" fontId="0" fillId="6" borderId="0" xfId="0" applyNumberFormat="1" applyFill="1"/>
    <xf numFmtId="43" fontId="0" fillId="5" borderId="0" xfId="1" applyFont="1" applyFill="1"/>
    <xf numFmtId="0" fontId="2" fillId="4" borderId="0" xfId="0" applyFont="1" applyFill="1"/>
    <xf numFmtId="43" fontId="0" fillId="4" borderId="0" xfId="1" applyNumberFormat="1" applyFont="1" applyFill="1"/>
    <xf numFmtId="0" fontId="0" fillId="3" borderId="0" xfId="0" applyFill="1"/>
    <xf numFmtId="164" fontId="0" fillId="3" borderId="0" xfId="1" applyNumberFormat="1" applyFont="1" applyFill="1"/>
    <xf numFmtId="0" fontId="2" fillId="3" borderId="0" xfId="0" applyFont="1" applyFill="1"/>
    <xf numFmtId="0" fontId="2" fillId="5" borderId="0" xfId="0" applyFont="1" applyFill="1"/>
    <xf numFmtId="164" fontId="2" fillId="5" borderId="0" xfId="1" applyNumberFormat="1" applyFont="1" applyFill="1"/>
    <xf numFmtId="164" fontId="2" fillId="6" borderId="0" xfId="1" applyNumberFormat="1" applyFont="1" applyFill="1"/>
    <xf numFmtId="1" fontId="0" fillId="3" borderId="0" xfId="0" applyNumberFormat="1" applyFill="1"/>
    <xf numFmtId="0" fontId="0" fillId="7" borderId="0" xfId="0" applyFill="1"/>
    <xf numFmtId="164" fontId="0" fillId="7" borderId="0" xfId="1" applyNumberFormat="1" applyFont="1" applyFill="1"/>
    <xf numFmtId="0" fontId="0" fillId="7" borderId="0" xfId="0" applyFill="1" applyAlignment="1">
      <alignment horizontal="right"/>
    </xf>
    <xf numFmtId="166" fontId="0" fillId="7" borderId="0" xfId="1" applyNumberFormat="1" applyFont="1" applyFill="1"/>
    <xf numFmtId="0" fontId="2" fillId="7" borderId="0" xfId="0" applyFont="1" applyFill="1"/>
    <xf numFmtId="43" fontId="0" fillId="7" borderId="0" xfId="1" applyNumberFormat="1" applyFont="1" applyFill="1"/>
    <xf numFmtId="0" fontId="3" fillId="3" borderId="0" xfId="2" applyFill="1" applyAlignment="1" applyProtection="1"/>
  </cellXfs>
  <cellStyles count="3">
    <cellStyle name="Comma" xfId="1" builtinId="3"/>
    <cellStyle name="Hyperlink" xfId="2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og.khymo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>
      <selection activeCell="K35" sqref="K35"/>
    </sheetView>
  </sheetViews>
  <sheetFormatPr defaultRowHeight="15"/>
  <cols>
    <col min="1" max="1" width="4.28515625" customWidth="1"/>
    <col min="2" max="2" width="15.5703125" customWidth="1"/>
    <col min="3" max="3" width="18" customWidth="1"/>
    <col min="4" max="4" width="11.5703125" customWidth="1"/>
    <col min="5" max="5" width="4.140625" style="3" customWidth="1"/>
    <col min="6" max="6" width="17.5703125" customWidth="1"/>
    <col min="7" max="7" width="11.85546875" customWidth="1"/>
    <col min="8" max="8" width="12.28515625" style="1" customWidth="1"/>
    <col min="9" max="9" width="4.28515625" style="1" customWidth="1"/>
    <col min="10" max="10" width="13.7109375" customWidth="1"/>
    <col min="13" max="13" width="9.140625" customWidth="1"/>
    <col min="14" max="14" width="6.7109375" customWidth="1"/>
    <col min="15" max="15" width="17.28515625" customWidth="1"/>
    <col min="16" max="16" width="11.42578125" customWidth="1"/>
    <col min="18" max="18" width="5.42578125" customWidth="1"/>
    <col min="19" max="19" width="12.7109375" bestFit="1" customWidth="1"/>
  </cols>
  <sheetData>
    <row r="1" spans="1:27">
      <c r="A1" s="22"/>
      <c r="B1" s="22"/>
      <c r="C1" s="22"/>
      <c r="D1" s="22"/>
      <c r="E1" s="22"/>
      <c r="F1" s="22"/>
      <c r="G1" s="22"/>
      <c r="H1" s="23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3"/>
      <c r="W1" s="3"/>
      <c r="X1" s="3"/>
      <c r="Y1" s="3"/>
      <c r="Z1" s="3"/>
      <c r="AA1" s="3"/>
    </row>
    <row r="2" spans="1:27">
      <c r="A2" s="22"/>
      <c r="B2" s="2" t="s">
        <v>58</v>
      </c>
      <c r="C2" s="2"/>
      <c r="D2" s="2"/>
      <c r="E2" s="2"/>
      <c r="F2" s="2"/>
      <c r="G2" s="2"/>
      <c r="H2" s="10"/>
      <c r="I2" s="10"/>
      <c r="J2" s="2"/>
      <c r="K2" s="2"/>
      <c r="L2" s="2"/>
      <c r="M2" s="2"/>
      <c r="N2" s="22"/>
      <c r="O2" s="22"/>
      <c r="P2" s="22"/>
      <c r="Q2" s="22"/>
      <c r="R2" s="22"/>
      <c r="S2" s="22"/>
      <c r="T2" s="22"/>
      <c r="U2" s="22"/>
      <c r="V2" s="3"/>
      <c r="W2" s="3"/>
      <c r="X2" s="3"/>
      <c r="Y2" s="3"/>
      <c r="Z2" s="3"/>
      <c r="AA2" s="3"/>
    </row>
    <row r="3" spans="1:27">
      <c r="A3" s="22"/>
      <c r="B3" s="4" t="s">
        <v>51</v>
      </c>
      <c r="C3" s="4"/>
      <c r="D3" s="4"/>
      <c r="E3" s="4"/>
      <c r="F3" s="4"/>
      <c r="G3" s="4"/>
      <c r="H3" s="5"/>
      <c r="I3" s="5"/>
      <c r="J3" s="4"/>
      <c r="K3" s="4"/>
      <c r="L3" s="4"/>
      <c r="M3" s="4"/>
      <c r="N3" s="22"/>
      <c r="O3" s="22"/>
      <c r="P3" s="22"/>
      <c r="Q3" s="22"/>
      <c r="R3" s="22"/>
      <c r="S3" s="22"/>
      <c r="T3" s="22"/>
      <c r="U3" s="22"/>
      <c r="V3" s="3"/>
      <c r="W3" s="3"/>
      <c r="X3" s="3"/>
      <c r="Y3" s="3"/>
      <c r="Z3" s="3"/>
      <c r="AA3" s="3"/>
    </row>
    <row r="4" spans="1:27">
      <c r="A4" s="22"/>
      <c r="B4" s="11" t="s">
        <v>64</v>
      </c>
      <c r="C4" s="11"/>
      <c r="D4" s="11"/>
      <c r="E4" s="11"/>
      <c r="F4" s="11"/>
      <c r="G4" s="11"/>
      <c r="H4" s="6"/>
      <c r="I4" s="6"/>
      <c r="J4" s="11"/>
      <c r="K4" s="11"/>
      <c r="L4" s="11"/>
      <c r="M4" s="11"/>
      <c r="N4" s="22"/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</row>
    <row r="5" spans="1:27">
      <c r="A5" s="22"/>
      <c r="B5" s="8" t="s">
        <v>52</v>
      </c>
      <c r="C5" s="8"/>
      <c r="D5" s="8"/>
      <c r="E5" s="8"/>
      <c r="F5" s="8"/>
      <c r="G5" s="8"/>
      <c r="H5" s="9"/>
      <c r="I5" s="9"/>
      <c r="J5" s="8"/>
      <c r="K5" s="8"/>
      <c r="L5" s="8"/>
      <c r="M5" s="8"/>
      <c r="N5" s="22"/>
      <c r="O5" s="22"/>
      <c r="P5" s="22"/>
      <c r="Q5" s="22"/>
      <c r="R5" s="22"/>
      <c r="S5" s="22"/>
      <c r="T5" s="22"/>
      <c r="U5" s="22"/>
      <c r="V5" s="3"/>
      <c r="W5" s="3"/>
      <c r="X5" s="3"/>
      <c r="Y5" s="3"/>
      <c r="Z5" s="3"/>
      <c r="AA5" s="3"/>
    </row>
    <row r="6" spans="1:27">
      <c r="A6" s="22"/>
      <c r="B6" s="29" t="s">
        <v>61</v>
      </c>
      <c r="C6" s="29"/>
      <c r="D6" s="29"/>
      <c r="E6" s="29"/>
      <c r="F6" s="29"/>
      <c r="G6" s="29"/>
      <c r="H6" s="30"/>
      <c r="I6" s="30"/>
      <c r="J6" s="29"/>
      <c r="K6" s="29"/>
      <c r="L6" s="29"/>
      <c r="M6" s="29"/>
      <c r="N6" s="22"/>
      <c r="O6" s="22"/>
      <c r="P6" s="22"/>
      <c r="Q6" s="22"/>
      <c r="R6" s="22"/>
      <c r="S6" s="22"/>
      <c r="T6" s="22"/>
      <c r="U6" s="22"/>
      <c r="V6" s="3"/>
      <c r="W6" s="3"/>
      <c r="X6" s="3"/>
      <c r="Y6" s="3"/>
      <c r="Z6" s="3"/>
      <c r="AA6" s="3"/>
    </row>
    <row r="7" spans="1:27">
      <c r="A7" s="22"/>
      <c r="B7" s="22"/>
      <c r="C7" s="22"/>
      <c r="D7" s="22"/>
      <c r="E7" s="22"/>
      <c r="F7" s="22"/>
      <c r="G7" s="22"/>
      <c r="H7" s="23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3"/>
      <c r="W7" s="3"/>
      <c r="X7" s="3"/>
      <c r="Y7" s="3"/>
      <c r="Z7" s="3"/>
      <c r="AA7" s="3"/>
    </row>
    <row r="8" spans="1:27">
      <c r="A8" s="22"/>
      <c r="B8" s="20" t="s">
        <v>63</v>
      </c>
      <c r="C8" s="20"/>
      <c r="D8" s="20"/>
      <c r="E8" s="22"/>
      <c r="F8" s="25" t="s">
        <v>43</v>
      </c>
      <c r="G8" s="25"/>
      <c r="H8" s="26"/>
      <c r="I8" s="23"/>
      <c r="J8" s="27" t="s">
        <v>48</v>
      </c>
      <c r="K8" s="7"/>
      <c r="L8" s="7"/>
      <c r="M8" s="7"/>
      <c r="N8" s="22"/>
      <c r="O8" s="33" t="s">
        <v>60</v>
      </c>
      <c r="P8" s="33"/>
      <c r="Q8" s="29"/>
      <c r="R8" s="22"/>
      <c r="S8" s="22"/>
      <c r="T8" s="22" t="s">
        <v>8</v>
      </c>
      <c r="U8" s="22"/>
      <c r="V8" s="3"/>
      <c r="W8" s="3"/>
      <c r="X8" s="3"/>
      <c r="Y8" s="3"/>
      <c r="Z8" s="3"/>
      <c r="AA8" s="3"/>
    </row>
    <row r="9" spans="1:27">
      <c r="A9" s="22"/>
      <c r="B9" s="4"/>
      <c r="C9" s="2" t="s">
        <v>17</v>
      </c>
      <c r="D9" s="4"/>
      <c r="E9" s="22"/>
      <c r="F9" s="11"/>
      <c r="G9" s="11"/>
      <c r="H9" s="6"/>
      <c r="I9" s="22"/>
      <c r="J9" s="8"/>
      <c r="K9" s="8"/>
      <c r="L9" s="7" t="s">
        <v>49</v>
      </c>
      <c r="M9" s="7" t="s">
        <v>50</v>
      </c>
      <c r="N9" s="22"/>
      <c r="O9" s="30"/>
      <c r="P9" s="30" t="s">
        <v>7</v>
      </c>
      <c r="Q9" s="29" t="s">
        <v>6</v>
      </c>
      <c r="R9" s="22"/>
      <c r="S9" s="22" t="s">
        <v>23</v>
      </c>
      <c r="T9" s="22">
        <v>40.078000000000003</v>
      </c>
      <c r="U9" s="22"/>
      <c r="V9" s="3"/>
      <c r="W9" s="3"/>
      <c r="X9" s="3"/>
      <c r="Y9" s="3"/>
      <c r="Z9" s="3"/>
      <c r="AA9" s="3"/>
    </row>
    <row r="10" spans="1:27">
      <c r="A10" s="22"/>
      <c r="B10" s="4"/>
      <c r="C10" s="4" t="s">
        <v>7</v>
      </c>
      <c r="D10" s="5" t="s">
        <v>6</v>
      </c>
      <c r="E10" s="23"/>
      <c r="F10" s="6"/>
      <c r="G10" s="6" t="s">
        <v>7</v>
      </c>
      <c r="H10" s="6" t="s">
        <v>6</v>
      </c>
      <c r="I10" s="22"/>
      <c r="J10" s="7" t="s">
        <v>30</v>
      </c>
      <c r="K10" s="7" t="s">
        <v>6</v>
      </c>
      <c r="L10" s="8" t="s">
        <v>46</v>
      </c>
      <c r="M10" s="8" t="s">
        <v>47</v>
      </c>
      <c r="N10" s="22"/>
      <c r="O10" s="31" t="s">
        <v>35</v>
      </c>
      <c r="P10" s="32">
        <v>0</v>
      </c>
      <c r="Q10" s="34">
        <f>Ca_p/T9</f>
        <v>0</v>
      </c>
      <c r="R10" s="22"/>
      <c r="S10" s="22" t="s">
        <v>24</v>
      </c>
      <c r="T10" s="22">
        <v>24.305</v>
      </c>
      <c r="U10" s="22"/>
      <c r="V10" s="3"/>
      <c r="W10" s="3"/>
      <c r="X10" s="3"/>
      <c r="Y10" s="3"/>
      <c r="Z10" s="3"/>
      <c r="AA10" s="3"/>
    </row>
    <row r="11" spans="1:27">
      <c r="A11" s="22"/>
      <c r="B11" s="15" t="s">
        <v>35</v>
      </c>
      <c r="C11" s="4">
        <f>VLOOKUP($C$9,'mineral waters lookup'!A:J,2,FALSE)</f>
        <v>208</v>
      </c>
      <c r="D11" s="21">
        <f t="shared" ref="D11:D17" si="0">C11/T9</f>
        <v>5.1898797345176897</v>
      </c>
      <c r="E11" s="23"/>
      <c r="F11" s="12" t="s">
        <v>35</v>
      </c>
      <c r="G11" s="13">
        <f t="shared" ref="G11:G16" si="1">H11*T9</f>
        <v>207.99999999999997</v>
      </c>
      <c r="H11" s="14">
        <f>calcium_sulfate+calcium_hydroxide+Q10</f>
        <v>5.1898797345176897</v>
      </c>
      <c r="I11" s="22"/>
      <c r="J11" s="8" t="s">
        <v>9</v>
      </c>
      <c r="K11" s="16">
        <f>IF(Na_t&gt;Cl_t,Cl_t,Na_t)</f>
        <v>1.8964767290126143</v>
      </c>
      <c r="L11" s="17">
        <f>sodium_chloride*T16</f>
        <v>110.83010004349718</v>
      </c>
      <c r="M11" s="18">
        <f>10*L11/1000</f>
        <v>1.1083010004349718</v>
      </c>
      <c r="N11" s="22"/>
      <c r="O11" s="31" t="s">
        <v>36</v>
      </c>
      <c r="P11" s="32">
        <v>0</v>
      </c>
      <c r="Q11" s="34">
        <f>Mg_p/T10</f>
        <v>0</v>
      </c>
      <c r="R11" s="22"/>
      <c r="S11" s="22" t="s">
        <v>21</v>
      </c>
      <c r="T11" s="22">
        <v>22.99</v>
      </c>
      <c r="U11" s="22"/>
      <c r="V11" s="3"/>
      <c r="W11" s="3"/>
      <c r="X11" s="3"/>
      <c r="Y11" s="3"/>
      <c r="Z11" s="3"/>
      <c r="AA11" s="3"/>
    </row>
    <row r="12" spans="1:27">
      <c r="A12" s="22"/>
      <c r="B12" s="15" t="s">
        <v>36</v>
      </c>
      <c r="C12" s="4">
        <f>VLOOKUP($C$9,'mineral waters lookup'!A:J,3,FALSE)</f>
        <v>55.9</v>
      </c>
      <c r="D12" s="21">
        <f t="shared" si="0"/>
        <v>2.2999382843036411</v>
      </c>
      <c r="E12" s="23"/>
      <c r="F12" s="12" t="s">
        <v>36</v>
      </c>
      <c r="G12" s="13">
        <f t="shared" si="1"/>
        <v>55.9</v>
      </c>
      <c r="H12" s="14">
        <f>magnesium_sulfate+magnesium_hydroxide+Q11</f>
        <v>2.2999382843036411</v>
      </c>
      <c r="I12" s="22"/>
      <c r="J12" s="8" t="s">
        <v>10</v>
      </c>
      <c r="K12" s="16">
        <f>IF(Na_t- sodium_chloride&gt;0,Na_t-sodium_chloride,0)</f>
        <v>0</v>
      </c>
      <c r="L12" s="17">
        <f>sodium_bicarbonate*T17</f>
        <v>0</v>
      </c>
      <c r="M12" s="18">
        <f t="shared" ref="M12:M17" si="2">10*L12/1000</f>
        <v>0</v>
      </c>
      <c r="N12" s="22"/>
      <c r="O12" s="31" t="s">
        <v>37</v>
      </c>
      <c r="P12" s="32">
        <v>0</v>
      </c>
      <c r="Q12" s="34">
        <f>Na_p/T11</f>
        <v>0</v>
      </c>
      <c r="R12" s="22"/>
      <c r="S12" s="22" t="s">
        <v>22</v>
      </c>
      <c r="T12" s="22">
        <v>61.01</v>
      </c>
      <c r="U12" s="22"/>
      <c r="V12" s="3"/>
      <c r="W12" s="3"/>
      <c r="X12" s="3"/>
      <c r="Y12" s="3"/>
      <c r="Z12" s="3"/>
      <c r="AA12" s="3"/>
    </row>
    <row r="13" spans="1:27">
      <c r="A13" s="22"/>
      <c r="B13" s="15" t="s">
        <v>37</v>
      </c>
      <c r="C13" s="4">
        <f>VLOOKUP($C$9,'mineral waters lookup'!A:J,4,FALSE)</f>
        <v>43.6</v>
      </c>
      <c r="D13" s="21">
        <f t="shared" si="0"/>
        <v>1.8964767290126143</v>
      </c>
      <c r="E13" s="23"/>
      <c r="F13" s="12" t="s">
        <v>37</v>
      </c>
      <c r="G13" s="13">
        <f t="shared" si="1"/>
        <v>43.6</v>
      </c>
      <c r="H13" s="14">
        <f>sodium_chloride+sodium_bicarbonate+Q12</f>
        <v>1.8964767290126143</v>
      </c>
      <c r="I13" s="22"/>
      <c r="J13" s="8" t="s">
        <v>27</v>
      </c>
      <c r="K13" s="16">
        <f>IF(sulfate_t&lt;Mg_t,sulfate_t,Mg_t)</f>
        <v>2.2999382843036411</v>
      </c>
      <c r="L13" s="17">
        <f>magnesium_sulfate*T18</f>
        <v>566.86578893231842</v>
      </c>
      <c r="M13" s="18">
        <f t="shared" si="2"/>
        <v>5.6686578893231845</v>
      </c>
      <c r="N13" s="22"/>
      <c r="O13" s="31" t="s">
        <v>38</v>
      </c>
      <c r="P13" s="32">
        <v>0</v>
      </c>
      <c r="Q13" s="34">
        <f>bicarbonate_p/T12</f>
        <v>0</v>
      </c>
      <c r="R13" s="22"/>
      <c r="S13" s="22" t="s">
        <v>25</v>
      </c>
      <c r="T13" s="22">
        <v>96.06</v>
      </c>
      <c r="U13" s="22"/>
      <c r="V13" s="3"/>
      <c r="W13" s="3"/>
      <c r="X13" s="3"/>
      <c r="Y13" s="3"/>
      <c r="Z13" s="3"/>
      <c r="AA13" s="3"/>
    </row>
    <row r="14" spans="1:27">
      <c r="A14" s="22"/>
      <c r="B14" s="15" t="s">
        <v>38</v>
      </c>
      <c r="C14" s="4">
        <f>VLOOKUP($C$9,'mineral waters lookup'!A:J,5,FALSE)</f>
        <v>135.5</v>
      </c>
      <c r="D14" s="21">
        <f t="shared" si="0"/>
        <v>2.2209473856744797</v>
      </c>
      <c r="E14" s="23"/>
      <c r="F14" s="12" t="s">
        <v>38</v>
      </c>
      <c r="G14" s="13">
        <f t="shared" si="1"/>
        <v>216.28752386748863</v>
      </c>
      <c r="H14" s="14">
        <f>sodium_bicarbonate+2*magnesium_hydroxide+2*calcium_hydroxide+Q13</f>
        <v>3.5451159460332509</v>
      </c>
      <c r="I14" s="22"/>
      <c r="J14" s="8" t="s">
        <v>28</v>
      </c>
      <c r="K14" s="16">
        <f>IF(sulfate_t-magnesium_sulfate&gt;0,sulfate_t-magnesium_sulfate,0)</f>
        <v>3.4173217615010643</v>
      </c>
      <c r="L14" s="17">
        <f>calcium_sulfate*T19</f>
        <v>588.36712232116122</v>
      </c>
      <c r="M14" s="18">
        <f t="shared" si="2"/>
        <v>5.8836712232116124</v>
      </c>
      <c r="N14" s="22"/>
      <c r="O14" s="31" t="s">
        <v>39</v>
      </c>
      <c r="P14" s="32">
        <v>0</v>
      </c>
      <c r="Q14" s="34">
        <f>sulfate_p/T13</f>
        <v>0</v>
      </c>
      <c r="R14" s="22"/>
      <c r="S14" s="22" t="s">
        <v>26</v>
      </c>
      <c r="T14" s="22">
        <v>35.450000000000003</v>
      </c>
      <c r="U14" s="22"/>
      <c r="V14" s="3"/>
      <c r="W14" s="3"/>
      <c r="X14" s="3"/>
      <c r="Y14" s="3"/>
      <c r="Z14" s="3"/>
      <c r="AA14" s="3"/>
    </row>
    <row r="15" spans="1:27">
      <c r="A15" s="22"/>
      <c r="B15" s="15" t="s">
        <v>39</v>
      </c>
      <c r="C15" s="4">
        <f>VLOOKUP($C$9,'mineral waters lookup'!A:J,6,FALSE)</f>
        <v>549.20000000000005</v>
      </c>
      <c r="D15" s="21">
        <f t="shared" si="0"/>
        <v>5.7172600458047054</v>
      </c>
      <c r="E15" s="23"/>
      <c r="F15" s="12" t="s">
        <v>39</v>
      </c>
      <c r="G15" s="13">
        <f t="shared" si="1"/>
        <v>549.20000000000005</v>
      </c>
      <c r="H15" s="14">
        <f>magnesium_sulfate+calcium_sulfate+Q14</f>
        <v>5.7172600458047054</v>
      </c>
      <c r="I15" s="22"/>
      <c r="J15" s="8" t="s">
        <v>11</v>
      </c>
      <c r="K15" s="16">
        <f>IF(Mg_t-magnesium_sulfate&gt;0,Mg_t-magnesium_sulfate,0)</f>
        <v>0</v>
      </c>
      <c r="L15" s="17">
        <f>magnesium_hydroxide*T20</f>
        <v>0</v>
      </c>
      <c r="M15" s="18">
        <f t="shared" si="2"/>
        <v>0</v>
      </c>
      <c r="N15" s="22"/>
      <c r="O15" s="31" t="s">
        <v>40</v>
      </c>
      <c r="P15" s="32">
        <v>0</v>
      </c>
      <c r="Q15" s="34">
        <f>chloride_p/T14</f>
        <v>0</v>
      </c>
      <c r="R15" s="22"/>
      <c r="S15" s="22" t="s">
        <v>14</v>
      </c>
      <c r="T15" s="22">
        <v>44</v>
      </c>
      <c r="U15" s="22"/>
      <c r="V15" s="3"/>
      <c r="W15" s="3"/>
      <c r="X15" s="3"/>
      <c r="Y15" s="3"/>
      <c r="Z15" s="3"/>
      <c r="AA15" s="3"/>
    </row>
    <row r="16" spans="1:27">
      <c r="A16" s="22"/>
      <c r="B16" s="15" t="s">
        <v>40</v>
      </c>
      <c r="C16" s="4">
        <f>VLOOKUP($C$9,'mineral waters lookup'!A:J,7,FALSE)</f>
        <v>74.3</v>
      </c>
      <c r="D16" s="21">
        <f t="shared" si="0"/>
        <v>2.0959097320169251</v>
      </c>
      <c r="E16" s="23"/>
      <c r="F16" s="12" t="s">
        <v>40</v>
      </c>
      <c r="G16" s="13">
        <f t="shared" si="1"/>
        <v>67.230100043497188</v>
      </c>
      <c r="H16" s="14">
        <f>sodium_chloride+Q15</f>
        <v>1.8964767290126143</v>
      </c>
      <c r="I16" s="22"/>
      <c r="J16" s="8" t="s">
        <v>12</v>
      </c>
      <c r="K16" s="16">
        <f>IF(Ca_t-calcium_sulfate&gt;0,Ca_t-calcium_sulfate,0)</f>
        <v>1.7725579730166254</v>
      </c>
      <c r="L16" s="17">
        <f>calcium_hydroxide*T21</f>
        <v>131.33413789472084</v>
      </c>
      <c r="M16" s="18">
        <f t="shared" si="2"/>
        <v>1.3133413789472084</v>
      </c>
      <c r="N16" s="22"/>
      <c r="O16" s="22"/>
      <c r="P16" s="22"/>
      <c r="Q16" s="22"/>
      <c r="R16" s="22"/>
      <c r="S16" s="22" t="s">
        <v>9</v>
      </c>
      <c r="T16" s="22">
        <v>58.44</v>
      </c>
      <c r="U16" s="22"/>
      <c r="V16" s="3"/>
      <c r="W16" s="3"/>
      <c r="X16" s="3"/>
      <c r="Y16" s="3"/>
      <c r="Z16" s="3"/>
      <c r="AA16" s="3"/>
    </row>
    <row r="17" spans="1:27">
      <c r="A17" s="22"/>
      <c r="B17" s="15" t="s">
        <v>53</v>
      </c>
      <c r="C17" s="4">
        <f>VLOOKUP($C$9,'mineral waters lookup'!A:J,8,FALSE)</f>
        <v>0</v>
      </c>
      <c r="D17" s="21">
        <f t="shared" si="0"/>
        <v>0</v>
      </c>
      <c r="E17" s="23"/>
      <c r="F17" s="12" t="s">
        <v>41</v>
      </c>
      <c r="G17" s="19">
        <f>IF(C17&gt;100,H17*T15,0)</f>
        <v>0</v>
      </c>
      <c r="H17" s="14">
        <f>IF(C17&gt;100,K17-2*calcium_hydroxide-2*magnesium_hydroxide,0)</f>
        <v>0</v>
      </c>
      <c r="I17" s="22"/>
      <c r="J17" s="8" t="s">
        <v>14</v>
      </c>
      <c r="K17" s="16">
        <f>D17</f>
        <v>0</v>
      </c>
      <c r="L17" s="17">
        <f>K17*T15</f>
        <v>0</v>
      </c>
      <c r="M17" s="18">
        <f t="shared" si="2"/>
        <v>0</v>
      </c>
      <c r="N17" s="22"/>
      <c r="O17" s="33" t="s">
        <v>62</v>
      </c>
      <c r="P17" s="29"/>
      <c r="Q17" s="29"/>
      <c r="R17" s="22"/>
      <c r="S17" s="22" t="s">
        <v>10</v>
      </c>
      <c r="T17" s="22">
        <v>84.01</v>
      </c>
      <c r="U17" s="22"/>
      <c r="V17" s="3"/>
      <c r="W17" s="3"/>
      <c r="X17" s="3"/>
      <c r="Y17" s="3"/>
      <c r="Z17" s="3"/>
      <c r="AA17" s="3"/>
    </row>
    <row r="18" spans="1:27">
      <c r="A18" s="22"/>
      <c r="B18" s="15" t="s">
        <v>13</v>
      </c>
      <c r="C18" s="4">
        <f>VLOOKUP($C$9,'mineral waters lookup'!A:J,9,FALSE)</f>
        <v>7.7</v>
      </c>
      <c r="D18" s="5"/>
      <c r="E18" s="23"/>
      <c r="F18" s="12" t="s">
        <v>42</v>
      </c>
      <c r="G18" s="6"/>
      <c r="H18" s="14">
        <f>IF(C17&gt;100,6.352+LOG10(H14/H17),0)</f>
        <v>0</v>
      </c>
      <c r="I18" s="22"/>
      <c r="J18" s="22"/>
      <c r="K18" s="22"/>
      <c r="L18" s="28"/>
      <c r="M18" s="28"/>
      <c r="N18" s="22"/>
      <c r="O18" s="29"/>
      <c r="P18" s="29" t="s">
        <v>7</v>
      </c>
      <c r="Q18" s="30" t="s">
        <v>6</v>
      </c>
      <c r="R18" s="22"/>
      <c r="S18" s="22" t="s">
        <v>29</v>
      </c>
      <c r="T18" s="22">
        <v>246.47</v>
      </c>
      <c r="U18" s="22"/>
      <c r="V18" s="3"/>
      <c r="W18" s="3"/>
      <c r="X18" s="3"/>
      <c r="Y18" s="3"/>
      <c r="Z18" s="3"/>
      <c r="AA18" s="3"/>
    </row>
    <row r="19" spans="1:27">
      <c r="A19" s="22"/>
      <c r="B19" s="15" t="s">
        <v>34</v>
      </c>
      <c r="C19" s="4">
        <f>VLOOKUP($C$9,'mineral waters lookup'!A:J,10,FALSE)</f>
        <v>1109</v>
      </c>
      <c r="D19" s="5"/>
      <c r="E19" s="23"/>
      <c r="F19" s="12" t="s">
        <v>34</v>
      </c>
      <c r="G19" s="13">
        <f>SUM(G11:G16)</f>
        <v>1140.2176239109858</v>
      </c>
      <c r="H19" s="14"/>
      <c r="I19" s="22"/>
      <c r="J19" s="22"/>
      <c r="K19" s="22"/>
      <c r="L19" s="22"/>
      <c r="M19" s="22"/>
      <c r="N19" s="22"/>
      <c r="O19" s="31" t="s">
        <v>35</v>
      </c>
      <c r="P19" s="29">
        <f>IF(C11-Ca_p&gt;0,C11-Ca_p,0)</f>
        <v>208</v>
      </c>
      <c r="Q19" s="34">
        <f t="shared" ref="Q19:Q24" si="3">P19/T9</f>
        <v>5.1898797345176897</v>
      </c>
      <c r="R19" s="22"/>
      <c r="S19" s="22" t="s">
        <v>28</v>
      </c>
      <c r="T19" s="22">
        <v>172.172</v>
      </c>
      <c r="U19" s="22"/>
      <c r="V19" s="3"/>
      <c r="W19" s="3"/>
      <c r="X19" s="3"/>
      <c r="Y19" s="3"/>
      <c r="Z19" s="3"/>
      <c r="AA19" s="3"/>
    </row>
    <row r="20" spans="1:27">
      <c r="A20" s="22"/>
      <c r="B20" s="4"/>
      <c r="C20" s="4"/>
      <c r="D20" s="5"/>
      <c r="E20" s="23"/>
      <c r="F20" s="6"/>
      <c r="G20" s="6"/>
      <c r="H20" s="6"/>
      <c r="I20" s="22"/>
      <c r="J20" s="22"/>
      <c r="K20" s="22"/>
      <c r="L20" s="22"/>
      <c r="M20" s="22"/>
      <c r="N20" s="22"/>
      <c r="O20" s="31" t="s">
        <v>36</v>
      </c>
      <c r="P20" s="29">
        <f>IF(C12-Mg_p&gt;0,C12-Mg_p,0)</f>
        <v>55.9</v>
      </c>
      <c r="Q20" s="34">
        <f t="shared" si="3"/>
        <v>2.2999382843036411</v>
      </c>
      <c r="R20" s="22"/>
      <c r="S20" s="22" t="s">
        <v>11</v>
      </c>
      <c r="T20" s="22">
        <v>58.319699999999997</v>
      </c>
      <c r="U20" s="22"/>
      <c r="V20" s="3"/>
      <c r="W20" s="3"/>
      <c r="X20" s="3"/>
      <c r="Y20" s="3"/>
      <c r="Z20" s="3"/>
      <c r="AA20" s="3"/>
    </row>
    <row r="21" spans="1:27">
      <c r="A21" s="22"/>
      <c r="B21" s="4" t="s">
        <v>56</v>
      </c>
      <c r="C21" s="4"/>
      <c r="D21" s="5">
        <f>Ca_t*2+Mg_t*2+Na_t</f>
        <v>16.876112766655275</v>
      </c>
      <c r="E21" s="23"/>
      <c r="F21" s="11" t="s">
        <v>44</v>
      </c>
      <c r="G21" s="6"/>
      <c r="H21" s="6">
        <f>H11*2+H12*2+H13</f>
        <v>16.876112766655275</v>
      </c>
      <c r="I21" s="22"/>
      <c r="J21" s="22"/>
      <c r="K21" s="22"/>
      <c r="L21" s="22"/>
      <c r="M21" s="22"/>
      <c r="N21" s="22"/>
      <c r="O21" s="31" t="s">
        <v>37</v>
      </c>
      <c r="P21" s="29">
        <f>IF(C13-Na_p&gt;0,C13-Na_p,0)</f>
        <v>43.6</v>
      </c>
      <c r="Q21" s="34">
        <f t="shared" si="3"/>
        <v>1.8964767290126143</v>
      </c>
      <c r="R21" s="22"/>
      <c r="S21" s="22" t="s">
        <v>12</v>
      </c>
      <c r="T21" s="22">
        <v>74.093000000000004</v>
      </c>
      <c r="U21" s="22"/>
      <c r="V21" s="3"/>
      <c r="W21" s="3"/>
      <c r="X21" s="3"/>
      <c r="Y21" s="3"/>
      <c r="Z21" s="3"/>
      <c r="AA21" s="3"/>
    </row>
    <row r="22" spans="1:27">
      <c r="A22" s="22"/>
      <c r="B22" s="4" t="s">
        <v>55</v>
      </c>
      <c r="C22" s="4"/>
      <c r="D22" s="5">
        <f>bicarbonate_t+sulfate_t*2+Cl_t</f>
        <v>15.751377209300816</v>
      </c>
      <c r="E22" s="23"/>
      <c r="F22" s="11" t="s">
        <v>45</v>
      </c>
      <c r="G22" s="6"/>
      <c r="H22" s="6">
        <f>H14+H15*2+H16</f>
        <v>16.876112766655275</v>
      </c>
      <c r="I22" s="22"/>
      <c r="J22" s="22"/>
      <c r="K22" s="22"/>
      <c r="L22" s="22"/>
      <c r="M22" s="22"/>
      <c r="N22" s="22"/>
      <c r="O22" s="31" t="s">
        <v>38</v>
      </c>
      <c r="P22" s="29">
        <f>C14-bicarbonate_p</f>
        <v>135.5</v>
      </c>
      <c r="Q22" s="34">
        <f t="shared" si="3"/>
        <v>2.2209473856744797</v>
      </c>
      <c r="R22" s="22"/>
      <c r="S22" s="22"/>
      <c r="T22" s="22"/>
      <c r="U22" s="22"/>
      <c r="V22" s="3"/>
      <c r="W22" s="3"/>
      <c r="X22" s="3"/>
      <c r="Y22" s="3"/>
      <c r="Z22" s="3"/>
      <c r="AA22" s="3"/>
    </row>
    <row r="23" spans="1:27">
      <c r="A23" s="22"/>
      <c r="B23" s="22"/>
      <c r="C23" s="22"/>
      <c r="D23" s="23"/>
      <c r="E23" s="24"/>
      <c r="F23" s="22"/>
      <c r="G23" s="22"/>
      <c r="H23" s="23"/>
      <c r="I23" s="23"/>
      <c r="J23" s="22"/>
      <c r="K23" s="22"/>
      <c r="L23" s="22"/>
      <c r="M23" s="22"/>
      <c r="N23" s="22"/>
      <c r="O23" s="31" t="s">
        <v>39</v>
      </c>
      <c r="P23" s="29">
        <f>C15-sulfate_p</f>
        <v>549.20000000000005</v>
      </c>
      <c r="Q23" s="34">
        <f t="shared" si="3"/>
        <v>5.7172600458047054</v>
      </c>
      <c r="R23" s="22"/>
      <c r="S23" s="22"/>
      <c r="T23" s="22"/>
      <c r="U23" s="22"/>
      <c r="V23" s="3"/>
      <c r="W23" s="3"/>
      <c r="X23" s="3"/>
      <c r="Y23" s="3"/>
      <c r="Z23" s="3"/>
      <c r="AA23" s="3"/>
    </row>
    <row r="24" spans="1:27">
      <c r="A24" s="22"/>
      <c r="B24" s="22" t="s">
        <v>54</v>
      </c>
      <c r="C24" s="22"/>
      <c r="D24" s="23"/>
      <c r="E24" s="24"/>
      <c r="F24" s="22"/>
      <c r="G24" s="22"/>
      <c r="H24" s="23"/>
      <c r="I24" s="23"/>
      <c r="J24" s="22"/>
      <c r="K24" s="22"/>
      <c r="L24" s="22"/>
      <c r="M24" s="22"/>
      <c r="N24" s="22"/>
      <c r="O24" s="31" t="s">
        <v>40</v>
      </c>
      <c r="P24" s="29">
        <f>C16-chloride_p</f>
        <v>74.3</v>
      </c>
      <c r="Q24" s="34">
        <f t="shared" si="3"/>
        <v>2.0959097320169251</v>
      </c>
      <c r="R24" s="22"/>
      <c r="S24" s="22"/>
      <c r="T24" s="22"/>
      <c r="U24" s="22"/>
      <c r="V24" s="3"/>
      <c r="W24" s="3"/>
      <c r="X24" s="3"/>
      <c r="Y24" s="3"/>
      <c r="Z24" s="3"/>
      <c r="AA24" s="3"/>
    </row>
    <row r="25" spans="1:27">
      <c r="A25" s="22"/>
      <c r="B25" s="22" t="s">
        <v>57</v>
      </c>
      <c r="C25" s="22"/>
      <c r="D25" s="23"/>
      <c r="E25" s="24"/>
      <c r="F25" s="22"/>
      <c r="G25" s="22"/>
      <c r="H25" s="23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"/>
      <c r="W25" s="3"/>
      <c r="X25" s="3"/>
      <c r="Y25" s="3"/>
      <c r="Z25" s="3"/>
      <c r="AA25" s="3"/>
    </row>
    <row r="26" spans="1:27">
      <c r="A26" s="22"/>
      <c r="B26" s="22"/>
      <c r="C26" s="22"/>
      <c r="D26" s="23"/>
      <c r="E26" s="24"/>
      <c r="F26" s="22"/>
      <c r="G26" s="22"/>
      <c r="H26" s="23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"/>
      <c r="W26" s="3"/>
      <c r="X26" s="3"/>
      <c r="Y26" s="3"/>
      <c r="Z26" s="3"/>
      <c r="AA26" s="3"/>
    </row>
    <row r="27" spans="1:27">
      <c r="A27" s="22"/>
      <c r="B27" s="24" t="s">
        <v>65</v>
      </c>
      <c r="C27" s="22"/>
      <c r="D27" s="23"/>
      <c r="E27" s="24"/>
      <c r="F27" s="22"/>
      <c r="G27" s="22"/>
      <c r="H27" s="23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3"/>
      <c r="W27" s="3"/>
      <c r="X27" s="3"/>
      <c r="Y27" s="3"/>
      <c r="Z27" s="3"/>
      <c r="AA27" s="3"/>
    </row>
    <row r="28" spans="1:27">
      <c r="A28" s="22"/>
      <c r="B28" s="22" t="s">
        <v>66</v>
      </c>
      <c r="C28" s="22"/>
      <c r="D28" s="22"/>
      <c r="E28" s="22"/>
      <c r="F28" s="22"/>
      <c r="G28" s="22"/>
      <c r="H28" s="22"/>
      <c r="I28" s="23"/>
      <c r="J28" s="2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3"/>
      <c r="W28" s="3"/>
      <c r="X28" s="3"/>
      <c r="Y28" s="3"/>
      <c r="Z28" s="3"/>
      <c r="AA28" s="3"/>
    </row>
    <row r="29" spans="1:27">
      <c r="A29" s="22"/>
      <c r="B29" s="35" t="s">
        <v>67</v>
      </c>
      <c r="C29" s="22"/>
      <c r="D29" s="22"/>
      <c r="E29" s="22"/>
      <c r="F29" s="22"/>
      <c r="G29" s="22"/>
      <c r="H29" s="22"/>
      <c r="I29" s="23"/>
      <c r="J29" s="23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3"/>
      <c r="W29" s="3"/>
      <c r="X29" s="3"/>
      <c r="Y29" s="3"/>
      <c r="Z29" s="3"/>
      <c r="AA29" s="3"/>
    </row>
    <row r="30" spans="1:27">
      <c r="H30"/>
      <c r="J30" s="1"/>
      <c r="N30" s="3"/>
      <c r="O30" s="3"/>
      <c r="P30" s="3"/>
    </row>
    <row r="31" spans="1:27">
      <c r="H31"/>
    </row>
  </sheetData>
  <conditionalFormatting sqref="D21">
    <cfRule type="expression" dxfId="1" priority="3">
      <formula>($D$21-$D$22)&gt;0</formula>
    </cfRule>
  </conditionalFormatting>
  <conditionalFormatting sqref="D22">
    <cfRule type="expression" dxfId="0" priority="1">
      <formula>($D$22-$D$21)&gt;0</formula>
    </cfRule>
  </conditionalFormatting>
  <dataValidations disablePrompts="1" count="1">
    <dataValidation type="list" allowBlank="1" showInputMessage="1" showErrorMessage="1" sqref="C9">
      <formula1>'mineral waters lookup'!A:A</formula1>
    </dataValidation>
  </dataValidations>
  <hyperlinks>
    <hyperlink ref="B2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A11" sqref="A11"/>
    </sheetView>
  </sheetViews>
  <sheetFormatPr defaultRowHeight="15"/>
  <cols>
    <col min="1" max="1" width="16.28515625" bestFit="1" customWidth="1"/>
    <col min="3" max="3" width="9.140625" customWidth="1"/>
    <col min="4" max="4" width="10.28515625" customWidth="1"/>
  </cols>
  <sheetData>
    <row r="1" spans="1:10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14</v>
      </c>
      <c r="I1" t="s">
        <v>13</v>
      </c>
      <c r="J1" t="s">
        <v>34</v>
      </c>
    </row>
    <row r="2" spans="1:10">
      <c r="A2" t="s">
        <v>31</v>
      </c>
      <c r="B2">
        <v>30.2</v>
      </c>
      <c r="C2">
        <v>6.9</v>
      </c>
      <c r="D2">
        <v>6.5</v>
      </c>
      <c r="E2">
        <v>100</v>
      </c>
      <c r="F2">
        <v>21.4</v>
      </c>
      <c r="G2">
        <v>7.1</v>
      </c>
      <c r="H2">
        <v>8.0000000000000002E-3</v>
      </c>
      <c r="I2">
        <v>8.1999999999999993</v>
      </c>
      <c r="J2">
        <v>137</v>
      </c>
    </row>
    <row r="3" spans="1:10">
      <c r="A3" t="s">
        <v>32</v>
      </c>
      <c r="B3">
        <v>100</v>
      </c>
      <c r="C3">
        <v>130</v>
      </c>
      <c r="D3">
        <v>410</v>
      </c>
      <c r="E3">
        <v>1810</v>
      </c>
      <c r="F3">
        <v>80</v>
      </c>
      <c r="G3">
        <v>100</v>
      </c>
      <c r="J3">
        <v>2767</v>
      </c>
    </row>
    <row r="4" spans="1:10">
      <c r="A4" t="s">
        <v>15</v>
      </c>
      <c r="B4">
        <v>310</v>
      </c>
      <c r="C4">
        <v>97</v>
      </c>
      <c r="D4">
        <v>53</v>
      </c>
      <c r="E4">
        <v>1800</v>
      </c>
      <c r="F4">
        <v>24</v>
      </c>
      <c r="G4">
        <v>29</v>
      </c>
      <c r="I4">
        <v>6.45</v>
      </c>
      <c r="J4">
        <v>1402</v>
      </c>
    </row>
    <row r="5" spans="1:10">
      <c r="A5" t="s">
        <v>18</v>
      </c>
      <c r="B5">
        <v>78</v>
      </c>
      <c r="C5">
        <v>24</v>
      </c>
      <c r="D5">
        <v>5</v>
      </c>
      <c r="E5">
        <v>357</v>
      </c>
      <c r="F5">
        <v>10</v>
      </c>
      <c r="G5">
        <v>4.5</v>
      </c>
      <c r="H5">
        <v>0</v>
      </c>
      <c r="I5">
        <v>7.2</v>
      </c>
      <c r="J5">
        <v>357</v>
      </c>
    </row>
    <row r="6" spans="1:10">
      <c r="A6" t="s">
        <v>16</v>
      </c>
      <c r="B6">
        <v>26</v>
      </c>
      <c r="C6">
        <v>30</v>
      </c>
      <c r="D6">
        <v>400</v>
      </c>
      <c r="E6">
        <v>300</v>
      </c>
      <c r="F6">
        <v>15</v>
      </c>
      <c r="G6">
        <v>590</v>
      </c>
      <c r="I6">
        <v>5.5</v>
      </c>
      <c r="J6">
        <v>1400</v>
      </c>
    </row>
    <row r="7" spans="1:10">
      <c r="A7" t="s">
        <v>33</v>
      </c>
      <c r="B7">
        <v>348</v>
      </c>
      <c r="C7">
        <v>108</v>
      </c>
      <c r="D7">
        <v>118</v>
      </c>
      <c r="E7">
        <v>1816</v>
      </c>
      <c r="F7">
        <v>38.299999999999997</v>
      </c>
      <c r="G7">
        <v>39.700000000000003</v>
      </c>
      <c r="H7">
        <v>7000</v>
      </c>
      <c r="J7">
        <v>2488</v>
      </c>
    </row>
    <row r="8" spans="1:10">
      <c r="A8" t="s">
        <v>20</v>
      </c>
      <c r="B8">
        <v>147.30000000000001</v>
      </c>
      <c r="C8">
        <v>3.4</v>
      </c>
      <c r="D8">
        <v>9</v>
      </c>
      <c r="E8">
        <v>390</v>
      </c>
      <c r="F8">
        <v>33</v>
      </c>
      <c r="G8">
        <v>21.5</v>
      </c>
      <c r="I8">
        <v>5.46</v>
      </c>
      <c r="J8">
        <v>475</v>
      </c>
    </row>
    <row r="9" spans="1:10">
      <c r="A9" t="s">
        <v>17</v>
      </c>
      <c r="B9">
        <v>208</v>
      </c>
      <c r="C9">
        <v>55.9</v>
      </c>
      <c r="D9">
        <v>43.6</v>
      </c>
      <c r="E9">
        <v>135.5</v>
      </c>
      <c r="F9">
        <v>549.20000000000005</v>
      </c>
      <c r="G9">
        <v>74.3</v>
      </c>
      <c r="I9">
        <v>7.7</v>
      </c>
      <c r="J9">
        <v>1109</v>
      </c>
    </row>
    <row r="10" spans="1:10">
      <c r="A10" t="s">
        <v>59</v>
      </c>
      <c r="B10">
        <v>90</v>
      </c>
      <c r="C10">
        <v>11</v>
      </c>
      <c r="D10">
        <v>1708</v>
      </c>
      <c r="E10">
        <v>4364</v>
      </c>
      <c r="F10">
        <v>174</v>
      </c>
      <c r="G10">
        <v>322</v>
      </c>
      <c r="I10">
        <v>6.6</v>
      </c>
    </row>
    <row r="11" spans="1:10">
      <c r="A11" t="s">
        <v>19</v>
      </c>
      <c r="B11">
        <v>202</v>
      </c>
      <c r="C11">
        <v>43</v>
      </c>
      <c r="D11">
        <v>4.7</v>
      </c>
      <c r="E11">
        <v>402</v>
      </c>
      <c r="F11">
        <v>336</v>
      </c>
      <c r="G11">
        <v>0</v>
      </c>
    </row>
  </sheetData>
  <sortState ref="A2:J9">
    <sortCondition ref="A2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calculator</vt:lpstr>
      <vt:lpstr>mineral waters lookup</vt:lpstr>
      <vt:lpstr>bicarbonate_p</vt:lpstr>
      <vt:lpstr>bicarbonate_t</vt:lpstr>
      <vt:lpstr>Ca_p</vt:lpstr>
      <vt:lpstr>Ca_t</vt:lpstr>
      <vt:lpstr>calculator!calcium_hydroxide</vt:lpstr>
      <vt:lpstr>calculator!calcium_sulfate</vt:lpstr>
      <vt:lpstr>chloride_p</vt:lpstr>
      <vt:lpstr>Cl_t</vt:lpstr>
      <vt:lpstr>calculator!magnesium_hydroxide</vt:lpstr>
      <vt:lpstr>calculator!magnesium_sulfate</vt:lpstr>
      <vt:lpstr>Mg_p</vt:lpstr>
      <vt:lpstr>Mg_t</vt:lpstr>
      <vt:lpstr>Na_p</vt:lpstr>
      <vt:lpstr>Na_t</vt:lpstr>
      <vt:lpstr>calculator!sodium_bicarbonate</vt:lpstr>
      <vt:lpstr>calculator!sodium_chloride</vt:lpstr>
      <vt:lpstr>sulfate_p</vt:lpstr>
      <vt:lpstr>sulfate_t</vt:lpstr>
    </vt:vector>
  </TitlesOfParts>
  <Company>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Lersch</dc:creator>
  <cp:lastModifiedBy>Martin</cp:lastModifiedBy>
  <dcterms:created xsi:type="dcterms:W3CDTF">2011-01-28T07:28:57Z</dcterms:created>
  <dcterms:modified xsi:type="dcterms:W3CDTF">2011-01-30T20:35:50Z</dcterms:modified>
</cp:coreProperties>
</file>